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010" yWindow="-15" windowWidth="15165" windowHeight="16005"/>
  </bookViews>
  <sheets>
    <sheet name="Arizona Driver Pay" sheetId="1" r:id="rId1"/>
  </sheets>
  <definedNames>
    <definedName name="_xlnm.Print_Area" localSheetId="0">'Arizona Driver Pay'!$A$1:$E$39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/>
  <c r="B37" s="1"/>
  <c r="E34"/>
  <c r="E38"/>
  <c r="B17"/>
  <c r="B16"/>
  <c r="B15"/>
  <c r="B13"/>
  <c r="B10"/>
  <c r="B25"/>
  <c r="E13"/>
  <c r="E7" l="1"/>
  <c r="E36" s="1"/>
  <c r="B31"/>
  <c r="C57" l="1"/>
  <c r="B29"/>
  <c r="B14"/>
  <c r="B32"/>
  <c r="B34"/>
  <c r="G12"/>
  <c r="B48" l="1"/>
  <c r="B50" s="1"/>
  <c r="B11"/>
  <c r="B12" l="1"/>
  <c r="B28" l="1"/>
  <c r="B30" s="1"/>
  <c r="C56"/>
  <c r="C58"/>
  <c r="C59"/>
  <c r="B35" l="1"/>
  <c r="E12" s="1"/>
  <c r="B38" l="1"/>
  <c r="E14" l="1"/>
  <c r="E15"/>
  <c r="E16"/>
  <c r="B52"/>
</calcChain>
</file>

<file path=xl/sharedStrings.xml><?xml version="1.0" encoding="utf-8"?>
<sst xmlns="http://schemas.openxmlformats.org/spreadsheetml/2006/main" count="96" uniqueCount="84">
  <si>
    <t xml:space="preserve">Credit Card Processing </t>
  </si>
  <si>
    <t>Tax Percentage</t>
  </si>
  <si>
    <t>Final Pay Calculation</t>
  </si>
  <si>
    <t>Contractor Wages</t>
  </si>
  <si>
    <t>Reimbursement</t>
  </si>
  <si>
    <t>Recruiting Bonus</t>
  </si>
  <si>
    <t>Paycheck</t>
  </si>
  <si>
    <t>Pay For Local No Show ($20)</t>
  </si>
  <si>
    <t>Full Amount +/- Added Up</t>
  </si>
  <si>
    <t>Remaining Advance</t>
  </si>
  <si>
    <t>YTD Earnings</t>
  </si>
  <si>
    <t xml:space="preserve">Driver Full Name: </t>
  </si>
  <si>
    <t>Driver Earnings Report</t>
  </si>
  <si>
    <t>&lt;-- Print Area</t>
  </si>
  <si>
    <t>Don't Print Outside The Box</t>
  </si>
  <si>
    <t>Print, Printer Name -&gt; Microsoft Print to PDF, Print What -&gt; Selection (A1 to E34), Save As Example "John Smith Paystub 11.7 to 11.20"</t>
  </si>
  <si>
    <t>Trip Summary</t>
  </si>
  <si>
    <t>Doubles: 1/2 to each driver</t>
  </si>
  <si>
    <t>Triples: 1/3 to each driver</t>
  </si>
  <si>
    <t>Total Trips From Ridebits</t>
  </si>
  <si>
    <t>Total Tips from RideBits</t>
  </si>
  <si>
    <t>Net Total Rides</t>
  </si>
  <si>
    <t>Net Total Rides Minus Processing</t>
  </si>
  <si>
    <t>Net Total Tips</t>
  </si>
  <si>
    <t>Tip Summary</t>
  </si>
  <si>
    <t>Tips from Doubles: 1/2 to each driver</t>
  </si>
  <si>
    <t>Tips from Triples: 1/3 to each driver</t>
  </si>
  <si>
    <t>Fuel Surcharge (E8)</t>
  </si>
  <si>
    <t>Total Local No Shows =&gt;</t>
  </si>
  <si>
    <t>Taxes (E6, Not a Sales Tax)</t>
  </si>
  <si>
    <t>Total Maintenance / Training Hours =&gt;</t>
  </si>
  <si>
    <t>Maintenance / Training ($16/hour)</t>
  </si>
  <si>
    <t>Credit Card Processing (E5)</t>
  </si>
  <si>
    <t>Airport Fees (Varies by Pay Period)</t>
  </si>
  <si>
    <t>Airport Fees (E9)</t>
  </si>
  <si>
    <t>Net Total Minus Tax, Tips, Fees &amp; Fuel</t>
  </si>
  <si>
    <t>Quads: 1/4 to each driver</t>
  </si>
  <si>
    <t>Tips from Quads: 1/4 to each driver</t>
  </si>
  <si>
    <t>&lt;-- Remove No Shows From Total or They Will Get Double Pay</t>
  </si>
  <si>
    <t>^-- Print Area</t>
  </si>
  <si>
    <t>5 Star Reviews - Last 14 Days =&gt;</t>
  </si>
  <si>
    <t>Max Pay (Hourly Equivalent Before Cash Tips)</t>
  </si>
  <si>
    <t>Average Fleet Speed</t>
  </si>
  <si>
    <t>Percent (Wages / (B16 + Total Tips))</t>
  </si>
  <si>
    <t>Total Miles on Reservations =&gt;</t>
  </si>
  <si>
    <t>Min / Max Pay Adjustment</t>
  </si>
  <si>
    <t>Base Pay (10% of B16)</t>
  </si>
  <si>
    <t>Extra Time For Car Washes and Fuel</t>
  </si>
  <si>
    <t>Max Pay Calculation ($23/hr Driving) =&gt;</t>
  </si>
  <si>
    <t>Cash Tip Estimate</t>
  </si>
  <si>
    <t>Number of Trips</t>
  </si>
  <si>
    <t>Average Cash Tip</t>
  </si>
  <si>
    <t>You must have a clean car, dress well, help with bags, and be on time to get cash tips</t>
  </si>
  <si>
    <t>Total Estimated Cash</t>
  </si>
  <si>
    <t>Total Estimated Compensation</t>
  </si>
  <si>
    <t>Max Pay Calculation (30%)</t>
  </si>
  <si>
    <t>Min Pay Calculation (27.5%)</t>
  </si>
  <si>
    <t>Min Pay Calculation (25%)</t>
  </si>
  <si>
    <t>5 Star Reviews &gt; 5 ($10 Each)</t>
  </si>
  <si>
    <t>&lt;-- Goal is 5+, Raises Max Pay Up To 30%, 1% for Each 5 Star Review</t>
  </si>
  <si>
    <t>Alternate Max Pay Calculation (25%-30%) =&gt;</t>
  </si>
  <si>
    <t>Estimated Hours Round Trip With A Customer + Car Washes and Fuel =&gt;</t>
  </si>
  <si>
    <t>Alternate Maximum Pay (25% to 30%)</t>
  </si>
  <si>
    <t>&lt;-- Percentage is Based on 5 Star Reviews</t>
  </si>
  <si>
    <t>Estimated MKZ Hourly Including Cash Tips</t>
  </si>
  <si>
    <t>Estimated Navigator Hourly Including Cash Tips</t>
  </si>
  <si>
    <t>Estimated Shuttle Hourly Including Cash Tips</t>
  </si>
  <si>
    <t xml:space="preserve"> &lt;-- Vehicle Must Be Clean and Well Maintained</t>
  </si>
  <si>
    <t xml:space="preserve"> &lt;-- Only Change What's in Green!</t>
  </si>
  <si>
    <t xml:space="preserve">  &lt;-- Not Intended For Individual Trips</t>
  </si>
  <si>
    <t>John Smith</t>
  </si>
  <si>
    <t>MKZ / VAN Fuel Surcharge (Varies)</t>
  </si>
  <si>
    <t>NAV Fuel Surcharge (Varies)</t>
  </si>
  <si>
    <t>Tips from Pents: 1/5 to each driver</t>
  </si>
  <si>
    <t>Pents: 1/5 to each driver</t>
  </si>
  <si>
    <t>1/29/2024 to 2/11/2024</t>
  </si>
  <si>
    <t>Advance Repayment / Deductions</t>
  </si>
  <si>
    <t>Deduction Summary</t>
  </si>
  <si>
    <t>Damage (Vehicle, Airport or Customer Property</t>
  </si>
  <si>
    <t>Total Deductions</t>
  </si>
  <si>
    <t>Advance Repayment or Vehicle Purchase</t>
  </si>
  <si>
    <t>Photo Tickets and Parking Tickets</t>
  </si>
  <si>
    <t>Insurance Increase (Driver Accidents and Tickets)</t>
  </si>
  <si>
    <t>Arizona Independent Contractor (Updated 3/7/2024)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</si>
</sst>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[$$-409]#,##0.00;[Red]\-[$$-409]#,##0.00"/>
    <numFmt numFmtId="165" formatCode="0.0%"/>
    <numFmt numFmtId="166" formatCode="_(\$* #,##0.00_);_(\$* \(#,##0.00\);_(\$* \-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sz val="12"/>
      <color theme="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40"/>
        <bgColor indexed="49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166" fontId="3" fillId="0" borderId="0" xfId="0" applyNumberFormat="1" applyFont="1"/>
    <xf numFmtId="1" fontId="6" fillId="0" borderId="0" xfId="0" applyNumberFormat="1" applyFont="1"/>
    <xf numFmtId="0" fontId="3" fillId="0" borderId="0" xfId="0" applyFont="1" applyAlignment="1">
      <alignment horizontal="left" indent="1"/>
    </xf>
    <xf numFmtId="0" fontId="0" fillId="0" borderId="5" xfId="0" applyBorder="1"/>
    <xf numFmtId="0" fontId="3" fillId="0" borderId="4" xfId="0" applyFont="1" applyBorder="1" applyAlignment="1">
      <alignment horizontal="left" indent="1"/>
    </xf>
    <xf numFmtId="165" fontId="3" fillId="0" borderId="5" xfId="0" applyNumberFormat="1" applyFont="1" applyBorder="1"/>
    <xf numFmtId="0" fontId="2" fillId="0" borderId="4" xfId="0" applyFont="1" applyBorder="1" applyAlignment="1">
      <alignment horizontal="left"/>
    </xf>
    <xf numFmtId="165" fontId="3" fillId="0" borderId="5" xfId="2" applyNumberFormat="1" applyFont="1" applyBorder="1"/>
    <xf numFmtId="166" fontId="3" fillId="0" borderId="5" xfId="0" applyNumberFormat="1" applyFont="1" applyBorder="1"/>
    <xf numFmtId="0" fontId="2" fillId="0" borderId="0" xfId="0" applyFont="1" applyAlignment="1">
      <alignment horizontal="left"/>
    </xf>
    <xf numFmtId="0" fontId="2" fillId="0" borderId="6" xfId="0" applyFont="1" applyBorder="1"/>
    <xf numFmtId="0" fontId="7" fillId="0" borderId="0" xfId="0" applyFont="1"/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164" fontId="3" fillId="0" borderId="4" xfId="2" applyNumberFormat="1" applyFont="1" applyFill="1" applyBorder="1" applyAlignment="1" applyProtection="1">
      <alignment horizontal="left" indent="1"/>
    </xf>
    <xf numFmtId="164" fontId="3" fillId="0" borderId="6" xfId="2" applyNumberFormat="1" applyFont="1" applyFill="1" applyBorder="1" applyAlignment="1" applyProtection="1">
      <alignment horizontal="left" indent="1"/>
    </xf>
    <xf numFmtId="166" fontId="3" fillId="0" borderId="7" xfId="0" applyNumberFormat="1" applyFont="1" applyBorder="1"/>
    <xf numFmtId="0" fontId="2" fillId="0" borderId="1" xfId="0" applyFont="1" applyBorder="1"/>
    <xf numFmtId="166" fontId="3" fillId="2" borderId="5" xfId="1" applyNumberFormat="1" applyFont="1" applyFill="1" applyBorder="1" applyAlignment="1" applyProtection="1"/>
    <xf numFmtId="166" fontId="2" fillId="0" borderId="5" xfId="0" applyNumberFormat="1" applyFont="1" applyBorder="1"/>
    <xf numFmtId="0" fontId="2" fillId="0" borderId="6" xfId="0" applyFont="1" applyBorder="1" applyAlignment="1">
      <alignment horizontal="left"/>
    </xf>
    <xf numFmtId="166" fontId="2" fillId="0" borderId="7" xfId="0" applyNumberFormat="1" applyFont="1" applyBorder="1"/>
    <xf numFmtId="166" fontId="2" fillId="0" borderId="3" xfId="0" applyNumberFormat="1" applyFont="1" applyBorder="1"/>
    <xf numFmtId="166" fontId="3" fillId="2" borderId="5" xfId="0" applyNumberFormat="1" applyFont="1" applyFill="1" applyBorder="1"/>
    <xf numFmtId="166" fontId="5" fillId="3" borderId="7" xfId="0" applyNumberFormat="1" applyFont="1" applyFill="1" applyBorder="1"/>
    <xf numFmtId="1" fontId="3" fillId="2" borderId="9" xfId="0" applyNumberFormat="1" applyFont="1" applyFill="1" applyBorder="1"/>
    <xf numFmtId="2" fontId="3" fillId="2" borderId="9" xfId="0" applyNumberFormat="1" applyFont="1" applyFill="1" applyBorder="1"/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8" fillId="0" borderId="5" xfId="0" applyFont="1" applyBorder="1"/>
    <xf numFmtId="2" fontId="3" fillId="0" borderId="9" xfId="0" applyNumberFormat="1" applyFont="1" applyBorder="1"/>
    <xf numFmtId="44" fontId="3" fillId="0" borderId="9" xfId="1" applyFont="1" applyFill="1" applyBorder="1"/>
    <xf numFmtId="0" fontId="2" fillId="0" borderId="0" xfId="0" applyFont="1"/>
    <xf numFmtId="166" fontId="2" fillId="0" borderId="0" xfId="0" applyNumberFormat="1" applyFont="1"/>
    <xf numFmtId="1" fontId="3" fillId="2" borderId="0" xfId="0" applyNumberFormat="1" applyFont="1" applyFill="1"/>
    <xf numFmtId="166" fontId="5" fillId="3" borderId="0" xfId="0" applyNumberFormat="1" applyFont="1" applyFill="1"/>
    <xf numFmtId="44" fontId="3" fillId="0" borderId="5" xfId="1" applyFont="1" applyBorder="1"/>
    <xf numFmtId="0" fontId="0" fillId="0" borderId="9" xfId="0" applyBorder="1"/>
    <xf numFmtId="44" fontId="3" fillId="0" borderId="5" xfId="1" applyFont="1" applyBorder="1" applyAlignment="1"/>
    <xf numFmtId="166" fontId="3" fillId="2" borderId="0" xfId="1" applyNumberFormat="1" applyFont="1" applyFill="1" applyBorder="1" applyAlignment="1" applyProtection="1">
      <alignment horizontal="left"/>
    </xf>
    <xf numFmtId="0" fontId="8" fillId="0" borderId="0" xfId="0" applyFont="1"/>
    <xf numFmtId="166" fontId="2" fillId="2" borderId="9" xfId="1" applyNumberFormat="1" applyFont="1" applyFill="1" applyBorder="1" applyAlignment="1" applyProtection="1">
      <alignment horizontal="center"/>
    </xf>
    <xf numFmtId="10" fontId="3" fillId="0" borderId="3" xfId="0" applyNumberFormat="1" applyFont="1" applyBorder="1"/>
    <xf numFmtId="10" fontId="3" fillId="0" borderId="5" xfId="2" applyNumberFormat="1" applyFont="1" applyFill="1" applyBorder="1" applyAlignment="1" applyProtection="1"/>
    <xf numFmtId="0" fontId="0" fillId="0" borderId="3" xfId="0" applyBorder="1"/>
    <xf numFmtId="0" fontId="3" fillId="0" borderId="0" xfId="0" applyFont="1" applyAlignment="1">
      <alignment horizontal="left" indent="1"/>
    </xf>
    <xf numFmtId="0" fontId="3" fillId="0" borderId="8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6" fontId="2" fillId="2" borderId="10" xfId="1" applyNumberFormat="1" applyFont="1" applyFill="1" applyBorder="1" applyAlignment="1" applyProtection="1">
      <alignment horizontal="center"/>
    </xf>
    <xf numFmtId="166" fontId="2" fillId="2" borderId="9" xfId="1" applyNumberFormat="1" applyFont="1" applyFill="1" applyBorder="1" applyAlignment="1" applyProtection="1">
      <alignment horizontal="center"/>
    </xf>
    <xf numFmtId="10" fontId="2" fillId="0" borderId="10" xfId="0" applyNumberFormat="1" applyFont="1" applyBorder="1" applyAlignment="1">
      <alignment horizontal="center"/>
    </xf>
    <xf numFmtId="10" fontId="2" fillId="0" borderId="9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4" fontId="3" fillId="0" borderId="7" xfId="1" applyFont="1" applyBorder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="80" zoomScaleNormal="80" workbookViewId="0">
      <selection activeCell="A2" sqref="A2"/>
    </sheetView>
  </sheetViews>
  <sheetFormatPr defaultRowHeight="15.75"/>
  <cols>
    <col min="1" max="1" width="45.140625" customWidth="1"/>
    <col min="2" max="2" width="26.85546875" bestFit="1" customWidth="1"/>
    <col min="3" max="3" width="29.85546875" customWidth="1"/>
    <col min="4" max="4" width="55.28515625" bestFit="1" customWidth="1"/>
    <col min="5" max="5" width="13" bestFit="1" customWidth="1"/>
    <col min="6" max="6" width="87.5703125" style="13" bestFit="1" customWidth="1"/>
  </cols>
  <sheetData>
    <row r="1" spans="1:7" ht="20.25">
      <c r="A1" s="57" t="s">
        <v>83</v>
      </c>
      <c r="B1" s="58"/>
      <c r="C1" s="58"/>
      <c r="D1" s="58"/>
      <c r="E1" s="59"/>
    </row>
    <row r="2" spans="1:7">
      <c r="A2" s="30" t="s">
        <v>11</v>
      </c>
      <c r="B2" s="44" t="s">
        <v>70</v>
      </c>
      <c r="C2" s="31" t="s">
        <v>12</v>
      </c>
      <c r="D2" s="60" t="s">
        <v>75</v>
      </c>
      <c r="E2" s="61"/>
      <c r="F2" s="42" t="s">
        <v>68</v>
      </c>
    </row>
    <row r="3" spans="1:7">
      <c r="A3" s="64"/>
      <c r="B3" s="65"/>
      <c r="D3" s="62"/>
      <c r="E3" s="63"/>
    </row>
    <row r="4" spans="1:7">
      <c r="A4" s="53" t="s">
        <v>16</v>
      </c>
      <c r="B4" s="54"/>
      <c r="D4" s="16" t="s">
        <v>0</v>
      </c>
      <c r="E4" s="45">
        <v>2.9899999999999999E-2</v>
      </c>
      <c r="F4" s="14"/>
    </row>
    <row r="5" spans="1:7">
      <c r="A5" s="6" t="s">
        <v>19</v>
      </c>
      <c r="B5" s="21">
        <v>8000</v>
      </c>
      <c r="D5" s="6" t="s">
        <v>1</v>
      </c>
      <c r="E5" s="46">
        <v>8.5999999999999993E-2</v>
      </c>
      <c r="F5" s="11"/>
    </row>
    <row r="6" spans="1:7">
      <c r="A6" s="6" t="s">
        <v>17</v>
      </c>
      <c r="B6" s="21">
        <v>0</v>
      </c>
      <c r="C6" s="4" t="s">
        <v>8</v>
      </c>
      <c r="D6" s="6" t="s">
        <v>41</v>
      </c>
      <c r="E6" s="39">
        <v>23</v>
      </c>
      <c r="F6" s="4"/>
    </row>
    <row r="7" spans="1:7">
      <c r="A7" s="6" t="s">
        <v>18</v>
      </c>
      <c r="B7" s="21">
        <v>0</v>
      </c>
      <c r="C7" s="4" t="s">
        <v>8</v>
      </c>
      <c r="D7" s="6" t="s">
        <v>62</v>
      </c>
      <c r="E7" s="7">
        <f>25%+MIN(E28*1%,5)</f>
        <v>0.25</v>
      </c>
      <c r="F7" s="4" t="s">
        <v>63</v>
      </c>
    </row>
    <row r="8" spans="1:7">
      <c r="A8" s="6" t="s">
        <v>36</v>
      </c>
      <c r="B8" s="21">
        <v>0</v>
      </c>
      <c r="C8" s="4" t="s">
        <v>8</v>
      </c>
      <c r="D8" s="6" t="s">
        <v>42</v>
      </c>
      <c r="E8" s="32">
        <v>53.33</v>
      </c>
      <c r="F8" s="4"/>
    </row>
    <row r="9" spans="1:7">
      <c r="A9" s="6" t="s">
        <v>74</v>
      </c>
      <c r="B9" s="21">
        <v>0</v>
      </c>
      <c r="C9" s="4" t="s">
        <v>8</v>
      </c>
      <c r="D9" s="6" t="s">
        <v>71</v>
      </c>
      <c r="E9" s="7">
        <v>0.11799999999999999</v>
      </c>
      <c r="F9" s="4"/>
    </row>
    <row r="10" spans="1:7">
      <c r="A10" s="8" t="s">
        <v>21</v>
      </c>
      <c r="B10" s="22">
        <f>SUM(B5:B5)+(B6/2)+(B7/3)+(B8/4)+(B9/5)</f>
        <v>8000</v>
      </c>
      <c r="D10" s="6" t="s">
        <v>72</v>
      </c>
      <c r="E10" s="7">
        <v>0.246</v>
      </c>
      <c r="F10" s="4"/>
    </row>
    <row r="11" spans="1:7">
      <c r="A11" s="6" t="s">
        <v>32</v>
      </c>
      <c r="B11" s="10">
        <f>B10*E4</f>
        <v>239.2</v>
      </c>
      <c r="D11" s="6" t="s">
        <v>33</v>
      </c>
      <c r="E11" s="7">
        <v>0</v>
      </c>
      <c r="F11" s="4"/>
    </row>
    <row r="12" spans="1:7">
      <c r="A12" s="8" t="s">
        <v>22</v>
      </c>
      <c r="B12" s="22">
        <f>B10-B11</f>
        <v>7760.8</v>
      </c>
      <c r="D12" s="17" t="s">
        <v>43</v>
      </c>
      <c r="E12" s="9">
        <f>B35/(B17+B14)</f>
        <v>0.25</v>
      </c>
      <c r="F12" s="4"/>
      <c r="G12" s="3">
        <f>MIN(E28,4)</f>
        <v>0</v>
      </c>
    </row>
    <row r="13" spans="1:7">
      <c r="A13" s="6" t="s">
        <v>29</v>
      </c>
      <c r="B13" s="10">
        <f>(B10-B14)*E5</f>
        <v>619.19999999999993</v>
      </c>
      <c r="D13" s="6" t="s">
        <v>47</v>
      </c>
      <c r="E13" s="9">
        <f>10/130</f>
        <v>7.6923076923076927E-2</v>
      </c>
      <c r="F13" s="4"/>
    </row>
    <row r="14" spans="1:7">
      <c r="A14" s="6" t="s">
        <v>20</v>
      </c>
      <c r="B14" s="10">
        <f>B20</f>
        <v>800</v>
      </c>
      <c r="C14" s="4"/>
      <c r="D14" s="6" t="s">
        <v>64</v>
      </c>
      <c r="E14" s="39">
        <f>(B38/E34)+5</f>
        <v>23.380315479966555</v>
      </c>
      <c r="F14" s="4" t="s">
        <v>67</v>
      </c>
    </row>
    <row r="15" spans="1:7">
      <c r="A15" s="6" t="s">
        <v>34</v>
      </c>
      <c r="B15" s="10">
        <f>(B10-B13-B14)*E11</f>
        <v>0</v>
      </c>
      <c r="C15" s="4"/>
      <c r="D15" s="6" t="s">
        <v>65</v>
      </c>
      <c r="E15" s="39">
        <f>(B38/E34)+10</f>
        <v>28.380315479966555</v>
      </c>
      <c r="F15" s="4" t="s">
        <v>67</v>
      </c>
    </row>
    <row r="16" spans="1:7">
      <c r="A16" s="6" t="s">
        <v>27</v>
      </c>
      <c r="B16" s="10">
        <f>(B10-B13-B14)*((E9*0.67)+(E10*0.33))</f>
        <v>1054.507392</v>
      </c>
      <c r="C16" s="4"/>
      <c r="D16" s="6" t="s">
        <v>66</v>
      </c>
      <c r="E16" s="39">
        <f>(B38/E34)+20</f>
        <v>38.380315479966555</v>
      </c>
      <c r="F16" s="4" t="s">
        <v>67</v>
      </c>
    </row>
    <row r="17" spans="1:6">
      <c r="A17" s="23" t="s">
        <v>35</v>
      </c>
      <c r="B17" s="24">
        <f>B12-B13-B14-B16-B15</f>
        <v>5287.0926080000008</v>
      </c>
      <c r="C17" s="1"/>
      <c r="D17" s="17" t="s">
        <v>9</v>
      </c>
      <c r="E17" s="10">
        <v>0</v>
      </c>
      <c r="F17" s="14"/>
    </row>
    <row r="18" spans="1:6">
      <c r="A18" s="51"/>
      <c r="B18" s="52"/>
      <c r="C18" s="1"/>
      <c r="D18" s="18" t="s">
        <v>10</v>
      </c>
      <c r="E18" s="19"/>
    </row>
    <row r="19" spans="1:6">
      <c r="A19" s="53" t="s">
        <v>24</v>
      </c>
      <c r="B19" s="54"/>
      <c r="C19" s="1"/>
      <c r="E19" s="47"/>
      <c r="F19" s="4" t="s">
        <v>13</v>
      </c>
    </row>
    <row r="20" spans="1:6">
      <c r="A20" s="6" t="s">
        <v>20</v>
      </c>
      <c r="B20" s="26">
        <v>800</v>
      </c>
      <c r="D20" s="53" t="s">
        <v>77</v>
      </c>
      <c r="E20" s="54"/>
    </row>
    <row r="21" spans="1:6">
      <c r="A21" s="6" t="s">
        <v>25</v>
      </c>
      <c r="B21" s="26">
        <v>0</v>
      </c>
      <c r="C21" s="4" t="s">
        <v>8</v>
      </c>
      <c r="D21" s="6" t="s">
        <v>81</v>
      </c>
      <c r="E21" s="41">
        <v>0</v>
      </c>
    </row>
    <row r="22" spans="1:6">
      <c r="A22" s="6" t="s">
        <v>26</v>
      </c>
      <c r="B22" s="26">
        <v>0</v>
      </c>
      <c r="C22" s="4" t="s">
        <v>8</v>
      </c>
      <c r="D22" s="6" t="s">
        <v>82</v>
      </c>
      <c r="E22" s="41">
        <v>0</v>
      </c>
    </row>
    <row r="23" spans="1:6">
      <c r="A23" s="6" t="s">
        <v>37</v>
      </c>
      <c r="B23" s="26">
        <v>0</v>
      </c>
      <c r="C23" s="4" t="s">
        <v>8</v>
      </c>
      <c r="D23" s="6" t="s">
        <v>78</v>
      </c>
      <c r="E23" s="41">
        <v>0</v>
      </c>
    </row>
    <row r="24" spans="1:6">
      <c r="A24" s="6" t="s">
        <v>73</v>
      </c>
      <c r="B24" s="26">
        <v>0</v>
      </c>
      <c r="C24" s="4" t="s">
        <v>8</v>
      </c>
      <c r="D24" s="6" t="s">
        <v>80</v>
      </c>
      <c r="E24" s="41">
        <v>0</v>
      </c>
    </row>
    <row r="25" spans="1:6">
      <c r="A25" s="23" t="s">
        <v>23</v>
      </c>
      <c r="B25" s="24">
        <f>B20+(B21/2)+(B22/3)+(B23/4)+(B24/5)</f>
        <v>800</v>
      </c>
      <c r="C25" s="1"/>
      <c r="D25" s="12" t="s">
        <v>79</v>
      </c>
      <c r="E25" s="66">
        <f>SUM(E21:E24)</f>
        <v>0</v>
      </c>
    </row>
    <row r="26" spans="1:6">
      <c r="A26" s="6"/>
      <c r="B26" s="2"/>
      <c r="C26" s="49" t="s">
        <v>44</v>
      </c>
      <c r="D26" s="50"/>
      <c r="E26" s="28">
        <v>2050</v>
      </c>
      <c r="F26" s="43" t="s">
        <v>69</v>
      </c>
    </row>
    <row r="27" spans="1:6">
      <c r="A27" s="20" t="s">
        <v>2</v>
      </c>
      <c r="B27" s="25"/>
      <c r="C27" s="55"/>
      <c r="D27" s="56"/>
      <c r="E27" s="15"/>
    </row>
    <row r="28" spans="1:6">
      <c r="A28" s="6" t="s">
        <v>46</v>
      </c>
      <c r="B28" s="10">
        <f>B17*0.1</f>
        <v>528.70926080000015</v>
      </c>
      <c r="C28" s="49" t="s">
        <v>40</v>
      </c>
      <c r="D28" s="50"/>
      <c r="E28" s="28">
        <v>0</v>
      </c>
      <c r="F28" s="4" t="s">
        <v>59</v>
      </c>
    </row>
    <row r="29" spans="1:6">
      <c r="A29" s="6" t="s">
        <v>23</v>
      </c>
      <c r="B29" s="10">
        <f>B25</f>
        <v>800</v>
      </c>
      <c r="C29" s="55"/>
      <c r="D29" s="56"/>
      <c r="E29" s="15"/>
    </row>
    <row r="30" spans="1:6">
      <c r="A30" s="6" t="s">
        <v>45</v>
      </c>
      <c r="B30" s="10">
        <f>IF(E26&gt;200,MIN(E36-B28-B29,E38-B28-B29),E36-B28-B29)</f>
        <v>193.06389120000006</v>
      </c>
      <c r="C30" s="49" t="s">
        <v>28</v>
      </c>
      <c r="D30" s="50"/>
      <c r="E30" s="28">
        <v>0</v>
      </c>
      <c r="F30" s="4" t="s">
        <v>38</v>
      </c>
    </row>
    <row r="31" spans="1:6">
      <c r="A31" s="6" t="s">
        <v>58</v>
      </c>
      <c r="B31" s="10">
        <f>MAX((E28-5)*10,0)</f>
        <v>0</v>
      </c>
      <c r="C31" s="55"/>
      <c r="D31" s="56"/>
      <c r="E31" s="15"/>
    </row>
    <row r="32" spans="1:6">
      <c r="A32" s="6" t="s">
        <v>7</v>
      </c>
      <c r="B32" s="10">
        <f>E30*20</f>
        <v>0</v>
      </c>
      <c r="C32" s="49" t="s">
        <v>30</v>
      </c>
      <c r="D32" s="50"/>
      <c r="E32" s="29">
        <v>0</v>
      </c>
    </row>
    <row r="33" spans="1:5">
      <c r="A33" s="6" t="s">
        <v>5</v>
      </c>
      <c r="B33" s="26">
        <v>0</v>
      </c>
      <c r="C33" s="51"/>
      <c r="D33" s="52"/>
      <c r="E33" s="5"/>
    </row>
    <row r="34" spans="1:5">
      <c r="A34" s="6" t="s">
        <v>31</v>
      </c>
      <c r="B34" s="10">
        <f>16*E32</f>
        <v>0</v>
      </c>
      <c r="C34" s="49" t="s">
        <v>61</v>
      </c>
      <c r="D34" s="50"/>
      <c r="E34" s="33">
        <f>(E26/E8)*2*(1+E13)</f>
        <v>82.793636140720324</v>
      </c>
    </row>
    <row r="35" spans="1:5">
      <c r="A35" s="8" t="s">
        <v>3</v>
      </c>
      <c r="B35" s="10">
        <f>B28+B29+B30+B31+B32+B33+B34</f>
        <v>1521.7731520000002</v>
      </c>
      <c r="C35" s="55"/>
      <c r="D35" s="56"/>
      <c r="E35" s="40"/>
    </row>
    <row r="36" spans="1:5">
      <c r="A36" s="6" t="s">
        <v>4</v>
      </c>
      <c r="B36" s="26">
        <v>0</v>
      </c>
      <c r="C36" s="49" t="s">
        <v>60</v>
      </c>
      <c r="D36" s="50"/>
      <c r="E36" s="34">
        <f>(B17+B14)*E7</f>
        <v>1521.7731520000002</v>
      </c>
    </row>
    <row r="37" spans="1:5">
      <c r="A37" s="6" t="s">
        <v>76</v>
      </c>
      <c r="B37" s="26">
        <f>E25</f>
        <v>0</v>
      </c>
      <c r="C37" s="55"/>
      <c r="D37" s="56"/>
      <c r="E37" s="5"/>
    </row>
    <row r="38" spans="1:5">
      <c r="A38" s="12" t="s">
        <v>6</v>
      </c>
      <c r="B38" s="27">
        <f>B35+B36-B37</f>
        <v>1521.7731520000002</v>
      </c>
      <c r="C38" s="49" t="s">
        <v>48</v>
      </c>
      <c r="D38" s="50"/>
      <c r="E38" s="34">
        <f>(E34*E6)</f>
        <v>1904.2536312365673</v>
      </c>
    </row>
    <row r="39" spans="1:5" s="13" customFormat="1" ht="15.75" customHeight="1">
      <c r="C39" s="14" t="s">
        <v>39</v>
      </c>
    </row>
    <row r="40" spans="1:5" s="13" customFormat="1" ht="15.75" customHeight="1"/>
    <row r="41" spans="1:5" s="13" customFormat="1" ht="15.75" customHeight="1">
      <c r="C41" s="14"/>
    </row>
    <row r="42" spans="1:5" s="13" customFormat="1" ht="15.75" customHeight="1">
      <c r="A42" s="14" t="s">
        <v>15</v>
      </c>
      <c r="B42" s="14"/>
    </row>
    <row r="43" spans="1:5" s="13" customFormat="1" ht="15.75" customHeight="1">
      <c r="A43" s="14" t="s">
        <v>14</v>
      </c>
      <c r="B43" s="14"/>
    </row>
    <row r="44" spans="1:5" s="13" customFormat="1" ht="15.75" customHeight="1">
      <c r="A44" s="14"/>
      <c r="B44" s="14"/>
    </row>
    <row r="45" spans="1:5" s="13" customFormat="1" ht="15.75" customHeight="1">
      <c r="A45" s="14"/>
      <c r="B45" s="14"/>
    </row>
    <row r="46" spans="1:5" s="13" customFormat="1" ht="15.75" customHeight="1">
      <c r="A46" s="14"/>
      <c r="B46" s="14"/>
    </row>
    <row r="47" spans="1:5" s="13" customFormat="1" ht="15.75" hidden="1" customHeight="1">
      <c r="A47" s="35" t="s">
        <v>49</v>
      </c>
      <c r="B47" s="36"/>
      <c r="C47"/>
      <c r="D47"/>
    </row>
    <row r="48" spans="1:5" s="13" customFormat="1" ht="15.75" hidden="1" customHeight="1">
      <c r="A48" s="4" t="s">
        <v>50</v>
      </c>
      <c r="B48" s="37">
        <f>B10/120</f>
        <v>66.666666666666671</v>
      </c>
      <c r="C48"/>
      <c r="D48"/>
    </row>
    <row r="49" spans="1:4" s="13" customFormat="1" hidden="1">
      <c r="A49" s="4" t="s">
        <v>51</v>
      </c>
      <c r="B49" s="2">
        <v>10</v>
      </c>
      <c r="C49" s="48" t="s">
        <v>52</v>
      </c>
      <c r="D49" s="48"/>
    </row>
    <row r="50" spans="1:4" s="13" customFormat="1" hidden="1">
      <c r="A50" s="35" t="s">
        <v>53</v>
      </c>
      <c r="B50" s="36">
        <f>B48*B49</f>
        <v>666.66666666666674</v>
      </c>
      <c r="C50"/>
      <c r="D50"/>
    </row>
    <row r="51" spans="1:4" s="13" customFormat="1" hidden="1">
      <c r="A51" s="35"/>
      <c r="B51" s="35"/>
      <c r="C51" s="1"/>
      <c r="D51" s="1"/>
    </row>
    <row r="52" spans="1:4" s="13" customFormat="1" hidden="1">
      <c r="A52" s="35" t="s">
        <v>54</v>
      </c>
      <c r="B52" s="38">
        <f>B38+B50</f>
        <v>2188.4398186666667</v>
      </c>
      <c r="C52" s="1"/>
      <c r="D52" s="1"/>
    </row>
    <row r="53" spans="1:4" s="13" customFormat="1">
      <c r="A53" s="35"/>
      <c r="B53" s="1"/>
      <c r="C53" s="1"/>
      <c r="D53" s="1"/>
    </row>
    <row r="54" spans="1:4" s="13" customFormat="1">
      <c r="A54" s="35"/>
      <c r="B54" s="1"/>
      <c r="C54" s="1"/>
      <c r="D54" s="1"/>
    </row>
    <row r="55" spans="1:4" s="13" customFormat="1">
      <c r="A55"/>
      <c r="B55"/>
      <c r="C55"/>
      <c r="D55" s="1"/>
    </row>
    <row r="56" spans="1:4" s="13" customFormat="1" hidden="1">
      <c r="A56" s="49" t="s">
        <v>55</v>
      </c>
      <c r="B56" s="50"/>
      <c r="C56" s="34">
        <f>(B17+B14)*0.3</f>
        <v>1826.1277824000001</v>
      </c>
      <c r="D56"/>
    </row>
    <row r="57" spans="1:4" s="13" customFormat="1" hidden="1">
      <c r="A57" s="49" t="s">
        <v>48</v>
      </c>
      <c r="B57" s="50"/>
      <c r="C57" s="34">
        <f>E38</f>
        <v>1904.2536312365673</v>
      </c>
      <c r="D57"/>
    </row>
    <row r="58" spans="1:4" s="13" customFormat="1" hidden="1">
      <c r="A58" s="49" t="s">
        <v>56</v>
      </c>
      <c r="B58" s="50"/>
      <c r="C58" s="34">
        <f>(B17+B14)*0.275</f>
        <v>1673.9504672000003</v>
      </c>
      <c r="D58"/>
    </row>
    <row r="59" spans="1:4" s="13" customFormat="1" hidden="1">
      <c r="A59" s="49" t="s">
        <v>57</v>
      </c>
      <c r="B59" s="50"/>
      <c r="C59" s="34">
        <f>(B17+B14)*0.25</f>
        <v>1521.7731520000002</v>
      </c>
      <c r="D59"/>
    </row>
    <row r="60" spans="1:4" s="13" customFormat="1"/>
    <row r="61" spans="1:4" s="13" customFormat="1"/>
    <row r="62" spans="1:4" s="13" customFormat="1"/>
    <row r="63" spans="1:4" s="13" customFormat="1"/>
    <row r="64" spans="1:4" s="13" customFormat="1"/>
  </sheetData>
  <mergeCells count="26">
    <mergeCell ref="A59:B59"/>
    <mergeCell ref="C34:D34"/>
    <mergeCell ref="A1:E1"/>
    <mergeCell ref="D2:E2"/>
    <mergeCell ref="C31:D31"/>
    <mergeCell ref="C33:D33"/>
    <mergeCell ref="C32:D32"/>
    <mergeCell ref="C29:D29"/>
    <mergeCell ref="C26:D26"/>
    <mergeCell ref="C28:D28"/>
    <mergeCell ref="C27:D27"/>
    <mergeCell ref="D20:E20"/>
    <mergeCell ref="D3:E3"/>
    <mergeCell ref="A3:B3"/>
    <mergeCell ref="A4:B4"/>
    <mergeCell ref="C38:D38"/>
    <mergeCell ref="C49:D49"/>
    <mergeCell ref="A56:B56"/>
    <mergeCell ref="A57:B57"/>
    <mergeCell ref="A58:B58"/>
    <mergeCell ref="A18:B18"/>
    <mergeCell ref="A19:B19"/>
    <mergeCell ref="C35:D35"/>
    <mergeCell ref="C37:D37"/>
    <mergeCell ref="C30:D30"/>
    <mergeCell ref="C36:D36"/>
  </mergeCells>
  <printOptions horizontalCentered="1" verticalCentered="1"/>
  <pageMargins left="0.5" right="0.5" top="0.5" bottom="0.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Arizona Driver Pay</vt:lpstr>
      <vt:lpstr>'Arizona Driver Pay'!Print_Area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</dc:creator>
  <cp:lastModifiedBy>Maggie</cp:lastModifiedBy>
  <cp:lastPrinted>2023-10-25T23:21:48Z</cp:lastPrinted>
  <dcterms:created xsi:type="dcterms:W3CDTF">2021-12-15T03:40:03Z</dcterms:created>
  <dcterms:modified xsi:type="dcterms:W3CDTF">2024-03-07T20:29:49Z</dcterms:modified>
</cp:coreProperties>
</file>