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8860" windowHeight="13290"/>
  </bookViews>
  <sheets>
    <sheet name="Texas Driver Pay" sheetId="1" r:id="rId1"/>
  </sheets>
  <definedNames>
    <definedName name="_xlnm.Print_Area" localSheetId="0">'Texas Driver Pay'!$A$1:$E$64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/>
  <c r="B18"/>
  <c r="B10"/>
  <c r="B24" l="1"/>
  <c r="B23"/>
  <c r="B22"/>
  <c r="B5"/>
  <c r="B13"/>
  <c r="E22"/>
  <c r="E5"/>
  <c r="E62"/>
  <c r="E61"/>
  <c r="E43"/>
  <c r="E63" s="1"/>
  <c r="E50" l="1"/>
  <c r="E20" l="1"/>
  <c r="E8"/>
  <c r="E56" l="1"/>
  <c r="E59"/>
  <c r="E35"/>
  <c r="E36"/>
  <c r="E39"/>
  <c r="E29" s="1"/>
  <c r="E44"/>
  <c r="E64" l="1"/>
  <c r="E23"/>
  <c r="E57" s="1"/>
  <c r="E37" l="1"/>
  <c r="E28" s="1"/>
  <c r="B26" l="1"/>
  <c r="E7" l="1"/>
  <c r="B29"/>
  <c r="E9" s="1"/>
  <c r="E10" l="1"/>
  <c r="E11"/>
</calcChain>
</file>

<file path=xl/sharedStrings.xml><?xml version="1.0" encoding="utf-8"?>
<sst xmlns="http://schemas.openxmlformats.org/spreadsheetml/2006/main" count="102" uniqueCount="86">
  <si>
    <t>Final Pay Calculation</t>
  </si>
  <si>
    <t>Reimbursement</t>
  </si>
  <si>
    <t>Paycheck</t>
  </si>
  <si>
    <t>Pay For Local No Show ($20)</t>
  </si>
  <si>
    <t>Full Amount +/- Added Up</t>
  </si>
  <si>
    <t xml:space="preserve">Driver Full Name: </t>
  </si>
  <si>
    <t xml:space="preserve"> Driver Earnings Report </t>
  </si>
  <si>
    <t>YTD Earnings</t>
  </si>
  <si>
    <t>&lt;-- Only Change What's in Green!</t>
  </si>
  <si>
    <t>&lt;-- Print Area</t>
  </si>
  <si>
    <t>^-- Print Area</t>
  </si>
  <si>
    <t>Don't Print Outside The Box</t>
  </si>
  <si>
    <t>Trip Summary</t>
  </si>
  <si>
    <t>Total Trips From Ridebits</t>
  </si>
  <si>
    <t>Total Tips from RideBits</t>
  </si>
  <si>
    <t>Tip Summary</t>
  </si>
  <si>
    <t>Print, Printer Name -&gt; Microsoft Print to PDF, Print What -&gt; Selection (A1 to E35), Save As Example "John Smith Paystub 11.7 to 11.20"</t>
  </si>
  <si>
    <t>Tips from Doubles: 1/2 to each driver</t>
  </si>
  <si>
    <t>Tips from Triples: 1/3 to each driver</t>
  </si>
  <si>
    <t>Total Local No Shows =&gt;</t>
  </si>
  <si>
    <t>Tips from Quads: 1/4 to each driver</t>
  </si>
  <si>
    <t>Doubles: 1/2 to each driver</t>
  </si>
  <si>
    <t>Triples: 1/3 to each driver</t>
  </si>
  <si>
    <t>Quads: 1/4 to each driver</t>
  </si>
  <si>
    <t>5 Star Reviews - Last 14 Days =&gt;</t>
  </si>
  <si>
    <t>Max Pay (Hourly Equivalent Before Cash Tips)</t>
  </si>
  <si>
    <t>Extra Time For Car Washes and Fuel</t>
  </si>
  <si>
    <t>5 Star Reviews &gt; 5 ($10 Each)</t>
  </si>
  <si>
    <t>&lt;-- Goal is 5+, Raises Max Pay Up To 30%, 1% for Each 5 Star Review</t>
  </si>
  <si>
    <t>&lt;-- Percentage is Based on 5 Star Reviews</t>
  </si>
  <si>
    <t xml:space="preserve">Estimated MKZ Hourly Including Cash Tips </t>
  </si>
  <si>
    <t>&lt;-- Vehicles Must Be Clean and Well Maintained</t>
  </si>
  <si>
    <t xml:space="preserve">Estimated Navigator Hourly Including Cash Tips </t>
  </si>
  <si>
    <t xml:space="preserve">Estimated Shuttle Hourly Including Cash Tips </t>
  </si>
  <si>
    <t>Tips from Pents: 1/5 to each driver</t>
  </si>
  <si>
    <t>Pents: 1/5 to each driver</t>
  </si>
  <si>
    <t>Deduction Summary</t>
  </si>
  <si>
    <t>Photo Tickets and Parking Tickets</t>
  </si>
  <si>
    <t>Insurance Increase (Driver Accidents and Tickets)</t>
  </si>
  <si>
    <t>Damage (Vehicle, Airport or Customer Property</t>
  </si>
  <si>
    <t>Advance Repayment or Vehicle Purchase</t>
  </si>
  <si>
    <t>Total Deductions</t>
  </si>
  <si>
    <t>Advance Repayment / Deductions</t>
  </si>
  <si>
    <t>&lt;-- Does Not Include Commute or Time Between Customers</t>
  </si>
  <si>
    <t>Estimated Hours Round Trip With A Customer + Car Washes and Fuel (E13) =&gt;</t>
  </si>
  <si>
    <t>Highway Average Fleet Speed (MPH)</t>
  </si>
  <si>
    <t>&lt;-- Remove No Shows From Total or They Will Get Paid Twice</t>
  </si>
  <si>
    <t>Independent Contractor (1099) Wages</t>
  </si>
  <si>
    <t>Base + Tips + Bonuses</t>
  </si>
  <si>
    <t>Total Miles on Confirmed Reservations =&gt;</t>
  </si>
  <si>
    <t>Compensation Percentage = Wages / Revenue</t>
  </si>
  <si>
    <t xml:space="preserve">  &lt;-- Not Intended For Individual Trips or Less Than 200 Miles</t>
  </si>
  <si>
    <t>Maintenance / Training Hours =&gt;</t>
  </si>
  <si>
    <t>Total Confirmed Revenue</t>
  </si>
  <si>
    <t>Total Tips on Reservation</t>
  </si>
  <si>
    <t>Maximum Pay (25% to 30% Based on 5 Star Reviews)</t>
  </si>
  <si>
    <t>CDL, Fleet Manager, or Driver Trainer? (Yes / No) =&gt;</t>
  </si>
  <si>
    <t>Revenue / Mile - All Miles</t>
  </si>
  <si>
    <t>Revenue / Mile - One Way</t>
  </si>
  <si>
    <t>Round Trip Miles Adjusted for Downtime</t>
  </si>
  <si>
    <t>Maintenance / Training ($18 / hour)</t>
  </si>
  <si>
    <t>Minimum $18/hr</t>
  </si>
  <si>
    <t>Percent Utilization (Round Trip)</t>
  </si>
  <si>
    <t>New FT/PT Driver (200/100 X 4 Pay Periods)</t>
  </si>
  <si>
    <t>Minimum Pay: Larger of</t>
  </si>
  <si>
    <t>Minimum Pay Calculation (See Below) =&gt;</t>
  </si>
  <si>
    <t>Maximum Pay Calculation (See Below) =&gt;</t>
  </si>
  <si>
    <t>Normal Driver Pay (Smaller of Minimum or Maximum Pay)</t>
  </si>
  <si>
    <t>Driver Trainer, Fleet Manager, or CDL Driver Pay (Smaller of Minimum or Maximum Pay)</t>
  </si>
  <si>
    <t>Absolute Minimum 10% + Tip</t>
  </si>
  <si>
    <t>No</t>
  </si>
  <si>
    <t>Card Processing (Non-Commissionable Amount)</t>
  </si>
  <si>
    <t>Minimum $20/hr</t>
  </si>
  <si>
    <t>Minimum 24% to 30% (Based on 5 Star Reviews)</t>
  </si>
  <si>
    <t>Maximum Pay</t>
  </si>
  <si>
    <t>Maximum 25% to 30% (Based on 5 Star Reviews)</t>
  </si>
  <si>
    <t>Maximum 26% to 30% (Based on 5 Star Reviews)</t>
  </si>
  <si>
    <t>Minimum 25% to 30% (Based on 5 Star Reviews)</t>
  </si>
  <si>
    <t>David Larkin</t>
  </si>
  <si>
    <t>2/9/2026 to 2/22/2026</t>
  </si>
  <si>
    <t>Owner Operator Pay (50% of Revenue)</t>
  </si>
  <si>
    <t>Normal Pay</t>
  </si>
  <si>
    <t>50% of Confirmed Revenue</t>
  </si>
  <si>
    <t>Owner Operator (Yes or No)</t>
  </si>
  <si>
    <t>Texas Independent Contractor (Updated 2/26/2026)</t>
  </si>
  <si>
    <t>&lt;-- Jorge Sayon, Fleet Manager in Texas, Remove Doubles on Training Runs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</si>
</sst>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.00;[Red]\-[$$-409]#,##0.00"/>
    <numFmt numFmtId="165" formatCode="0.0%"/>
    <numFmt numFmtId="166" formatCode="_(\$* #,##0.00_);_(\$* \(#,##0.00\);_(\$* \-??_);_(@_)"/>
    <numFmt numFmtId="167" formatCode="&quot;$&quot;#,##0.00"/>
    <numFmt numFmtId="168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color indexed="9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40"/>
        <bgColor indexed="49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 applyAlignment="1">
      <alignment horizontal="left" indent="1"/>
    </xf>
    <xf numFmtId="166" fontId="3" fillId="2" borderId="0" xfId="1" applyNumberFormat="1" applyFont="1" applyFill="1" applyBorder="1" applyAlignment="1" applyProtection="1"/>
    <xf numFmtId="0" fontId="3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2" fillId="0" borderId="10" xfId="0" applyFont="1" applyBorder="1" applyAlignment="1">
      <alignment horizontal="center" vertical="center"/>
    </xf>
    <xf numFmtId="167" fontId="6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166" fontId="2" fillId="2" borderId="8" xfId="1" applyNumberFormat="1" applyFont="1" applyFill="1" applyBorder="1" applyAlignment="1" applyProtection="1">
      <alignment horizontal="center"/>
    </xf>
    <xf numFmtId="0" fontId="2" fillId="0" borderId="12" xfId="0" applyFont="1" applyBorder="1" applyAlignment="1">
      <alignment vertical="center"/>
    </xf>
    <xf numFmtId="44" fontId="6" fillId="0" borderId="15" xfId="1" applyFont="1" applyBorder="1"/>
    <xf numFmtId="0" fontId="3" fillId="0" borderId="17" xfId="0" applyFont="1" applyBorder="1" applyAlignment="1">
      <alignment horizontal="left" indent="1"/>
    </xf>
    <xf numFmtId="165" fontId="3" fillId="0" borderId="19" xfId="0" applyNumberFormat="1" applyFont="1" applyBorder="1"/>
    <xf numFmtId="2" fontId="6" fillId="0" borderId="19" xfId="0" applyNumberFormat="1" applyFont="1" applyBorder="1"/>
    <xf numFmtId="165" fontId="2" fillId="0" borderId="19" xfId="2" applyNumberFormat="1" applyFont="1" applyBorder="1"/>
    <xf numFmtId="165" fontId="3" fillId="0" borderId="19" xfId="2" applyNumberFormat="1" applyFont="1" applyBorder="1"/>
    <xf numFmtId="44" fontId="6" fillId="0" borderId="19" xfId="1" applyFont="1" applyBorder="1"/>
    <xf numFmtId="0" fontId="3" fillId="0" borderId="18" xfId="0" applyFont="1" applyBorder="1"/>
    <xf numFmtId="0" fontId="2" fillId="0" borderId="15" xfId="0" applyFont="1" applyBorder="1" applyAlignment="1">
      <alignment horizontal="left"/>
    </xf>
    <xf numFmtId="44" fontId="3" fillId="0" borderId="19" xfId="1" applyFont="1" applyBorder="1" applyAlignment="1"/>
    <xf numFmtId="44" fontId="3" fillId="0" borderId="18" xfId="1" applyFont="1" applyBorder="1" applyAlignment="1"/>
    <xf numFmtId="0" fontId="3" fillId="0" borderId="4" xfId="0" applyFont="1" applyBorder="1" applyAlignment="1">
      <alignment horizontal="left" indent="1"/>
    </xf>
    <xf numFmtId="0" fontId="2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 indent="1"/>
    </xf>
    <xf numFmtId="0" fontId="2" fillId="0" borderId="28" xfId="0" applyFont="1" applyBorder="1"/>
    <xf numFmtId="0" fontId="3" fillId="0" borderId="26" xfId="0" applyFont="1" applyBorder="1" applyAlignment="1">
      <alignment horizontal="left" indent="1"/>
    </xf>
    <xf numFmtId="164" fontId="2" fillId="0" borderId="27" xfId="2" applyNumberFormat="1" applyFont="1" applyFill="1" applyBorder="1" applyAlignment="1" applyProtection="1">
      <alignment horizontal="left" indent="1"/>
    </xf>
    <xf numFmtId="0" fontId="3" fillId="0" borderId="28" xfId="0" applyFont="1" applyBorder="1" applyAlignment="1">
      <alignment horizontal="left" indent="1"/>
    </xf>
    <xf numFmtId="166" fontId="3" fillId="0" borderId="0" xfId="0" applyNumberFormat="1" applyFont="1" applyAlignment="1">
      <alignment horizontal="left" indent="1"/>
    </xf>
    <xf numFmtId="166" fontId="3" fillId="0" borderId="27" xfId="0" applyNumberFormat="1" applyFont="1" applyBorder="1"/>
    <xf numFmtId="166" fontId="3" fillId="2" borderId="27" xfId="0" applyNumberFormat="1" applyFont="1" applyFill="1" applyBorder="1"/>
    <xf numFmtId="166" fontId="2" fillId="0" borderId="10" xfId="0" applyNumberFormat="1" applyFont="1" applyBorder="1"/>
    <xf numFmtId="166" fontId="3" fillId="2" borderId="27" xfId="1" applyNumberFormat="1" applyFont="1" applyFill="1" applyBorder="1" applyAlignment="1" applyProtection="1"/>
    <xf numFmtId="44" fontId="3" fillId="0" borderId="31" xfId="1" applyFont="1" applyFill="1" applyBorder="1"/>
    <xf numFmtId="166" fontId="3" fillId="0" borderId="15" xfId="0" applyNumberFormat="1" applyFont="1" applyBorder="1"/>
    <xf numFmtId="166" fontId="3" fillId="0" borderId="19" xfId="0" applyNumberFormat="1" applyFont="1" applyBorder="1"/>
    <xf numFmtId="9" fontId="6" fillId="0" borderId="19" xfId="2" applyFont="1" applyBorder="1"/>
    <xf numFmtId="43" fontId="6" fillId="0" borderId="34" xfId="3" applyFont="1" applyBorder="1"/>
    <xf numFmtId="166" fontId="3" fillId="2" borderId="15" xfId="0" applyNumberFormat="1" applyFont="1" applyFill="1" applyBorder="1"/>
    <xf numFmtId="166" fontId="3" fillId="2" borderId="19" xfId="0" applyNumberFormat="1" applyFont="1" applyFill="1" applyBorder="1"/>
    <xf numFmtId="168" fontId="3" fillId="2" borderId="30" xfId="3" applyNumberFormat="1" applyFont="1" applyFill="1" applyBorder="1" applyAlignment="1">
      <alignment horizontal="left"/>
    </xf>
    <xf numFmtId="2" fontId="3" fillId="0" borderId="31" xfId="0" applyNumberFormat="1" applyFont="1" applyBorder="1"/>
    <xf numFmtId="1" fontId="3" fillId="2" borderId="31" xfId="0" applyNumberFormat="1" applyFont="1" applyFill="1" applyBorder="1" applyAlignment="1">
      <alignment horizontal="right"/>
    </xf>
    <xf numFmtId="1" fontId="3" fillId="2" borderId="31" xfId="0" applyNumberFormat="1" applyFont="1" applyFill="1" applyBorder="1"/>
    <xf numFmtId="0" fontId="2" fillId="0" borderId="16" xfId="0" applyFont="1" applyBorder="1"/>
    <xf numFmtId="166" fontId="5" fillId="3" borderId="35" xfId="0" applyNumberFormat="1" applyFont="1" applyFill="1" applyBorder="1"/>
    <xf numFmtId="44" fontId="3" fillId="0" borderId="33" xfId="1" applyFont="1" applyFill="1" applyBorder="1"/>
    <xf numFmtId="44" fontId="2" fillId="0" borderId="31" xfId="1" applyFont="1" applyFill="1" applyBorder="1"/>
    <xf numFmtId="0" fontId="2" fillId="0" borderId="12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10" fontId="3" fillId="0" borderId="19" xfId="2" applyNumberFormat="1" applyFont="1" applyBorder="1"/>
    <xf numFmtId="44" fontId="2" fillId="0" borderId="30" xfId="1" applyFont="1" applyFill="1" applyBorder="1"/>
    <xf numFmtId="44" fontId="2" fillId="0" borderId="32" xfId="1" applyFont="1" applyFill="1" applyBorder="1"/>
    <xf numFmtId="0" fontId="3" fillId="0" borderId="0" xfId="0" applyFont="1" applyAlignment="1">
      <alignment horizontal="left" indent="1"/>
    </xf>
    <xf numFmtId="0" fontId="2" fillId="0" borderId="43" xfId="0" applyFont="1" applyBorder="1" applyAlignment="1">
      <alignment horizontal="center" vertical="center"/>
    </xf>
    <xf numFmtId="44" fontId="2" fillId="0" borderId="47" xfId="1" applyFont="1" applyFill="1" applyBorder="1"/>
    <xf numFmtId="0" fontId="2" fillId="0" borderId="48" xfId="0" applyFont="1" applyBorder="1" applyAlignment="1">
      <alignment horizontal="center" vertical="center"/>
    </xf>
    <xf numFmtId="44" fontId="2" fillId="0" borderId="49" xfId="1" applyFont="1" applyFill="1" applyBorder="1"/>
    <xf numFmtId="0" fontId="3" fillId="0" borderId="5" xfId="0" applyFont="1" applyBorder="1" applyAlignment="1">
      <alignment horizontal="left" indent="1"/>
    </xf>
    <xf numFmtId="1" fontId="3" fillId="2" borderId="10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43" fontId="3" fillId="0" borderId="0" xfId="0" applyNumberFormat="1" applyFont="1" applyFill="1" applyBorder="1" applyAlignment="1">
      <alignment horizontal="left" indent="1"/>
    </xf>
    <xf numFmtId="0" fontId="2" fillId="0" borderId="44" xfId="0" applyFont="1" applyBorder="1" applyAlignment="1">
      <alignment horizontal="left" indent="1"/>
    </xf>
    <xf numFmtId="0" fontId="2" fillId="0" borderId="45" xfId="0" applyFont="1" applyBorder="1" applyAlignment="1">
      <alignment horizontal="left" indent="1"/>
    </xf>
    <xf numFmtId="0" fontId="2" fillId="0" borderId="46" xfId="0" applyFont="1" applyBorder="1" applyAlignment="1">
      <alignment horizontal="left" inden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66" fontId="2" fillId="2" borderId="9" xfId="1" applyNumberFormat="1" applyFont="1" applyFill="1" applyBorder="1" applyAlignment="1" applyProtection="1">
      <alignment horizontal="center"/>
    </xf>
    <xf numFmtId="166" fontId="2" fillId="2" borderId="13" xfId="1" applyNumberFormat="1" applyFont="1" applyFill="1" applyBorder="1" applyAlignment="1" applyProtection="1">
      <alignment horizontal="center"/>
    </xf>
    <xf numFmtId="0" fontId="3" fillId="0" borderId="4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36" xfId="0" applyFont="1" applyBorder="1" applyAlignment="1">
      <alignment horizontal="left" indent="1"/>
    </xf>
    <xf numFmtId="0" fontId="3" fillId="0" borderId="29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5" xfId="0" applyFont="1" applyBorder="1" applyAlignment="1">
      <alignment horizontal="left" inden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5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abSelected="1" zoomScale="80" zoomScaleNormal="80" workbookViewId="0">
      <selection activeCell="F17" sqref="F17"/>
    </sheetView>
  </sheetViews>
  <sheetFormatPr defaultRowHeight="15"/>
  <cols>
    <col min="1" max="1" width="47.42578125" customWidth="1"/>
    <col min="2" max="2" width="22.7109375" bestFit="1" customWidth="1"/>
    <col min="3" max="3" width="34.42578125" customWidth="1"/>
    <col min="4" max="4" width="60.85546875" bestFit="1" customWidth="1"/>
    <col min="5" max="5" width="14.28515625" bestFit="1" customWidth="1"/>
    <col min="6" max="6" width="164.42578125" bestFit="1" customWidth="1"/>
  </cols>
  <sheetData>
    <row r="1" spans="1:8" ht="20.25">
      <c r="A1" s="114" t="s">
        <v>84</v>
      </c>
      <c r="B1" s="115"/>
      <c r="C1" s="115"/>
      <c r="D1" s="115"/>
      <c r="E1" s="116"/>
    </row>
    <row r="2" spans="1:8" ht="15.75">
      <c r="A2" s="11" t="s">
        <v>5</v>
      </c>
      <c r="B2" s="10" t="s">
        <v>78</v>
      </c>
      <c r="C2" s="6" t="s">
        <v>6</v>
      </c>
      <c r="D2" s="117" t="s">
        <v>79</v>
      </c>
      <c r="E2" s="118"/>
      <c r="F2" s="2" t="s">
        <v>8</v>
      </c>
    </row>
    <row r="3" spans="1:8" ht="15.75">
      <c r="A3" s="125"/>
      <c r="B3" s="126"/>
      <c r="C3" s="126"/>
      <c r="D3" s="126"/>
      <c r="E3" s="127"/>
    </row>
    <row r="4" spans="1:8" ht="15.75">
      <c r="A4" s="133" t="s">
        <v>12</v>
      </c>
      <c r="B4" s="134"/>
      <c r="C4" s="63" t="s">
        <v>83</v>
      </c>
      <c r="D4" s="27" t="s">
        <v>25</v>
      </c>
      <c r="E4" s="12">
        <v>26</v>
      </c>
      <c r="F4" s="1"/>
      <c r="G4" s="4"/>
    </row>
    <row r="5" spans="1:8" ht="15.75">
      <c r="A5" s="13" t="s">
        <v>13</v>
      </c>
      <c r="B5" s="34">
        <f>6011.97</f>
        <v>6011.97</v>
      </c>
      <c r="C5" s="62" t="s">
        <v>70</v>
      </c>
      <c r="D5" s="61" t="s">
        <v>55</v>
      </c>
      <c r="E5" s="14">
        <f>IF(E24="Yes",26%+MIN(E25*1%,4%),25%+MIN(E25*1%,5%))</f>
        <v>0.25</v>
      </c>
      <c r="F5" s="1" t="s">
        <v>29</v>
      </c>
      <c r="G5" s="3"/>
      <c r="H5" s="3"/>
    </row>
    <row r="6" spans="1:8" ht="15.75">
      <c r="A6" s="13" t="s">
        <v>21</v>
      </c>
      <c r="B6" s="34">
        <v>0</v>
      </c>
      <c r="C6" s="1" t="s">
        <v>4</v>
      </c>
      <c r="D6" s="25" t="s">
        <v>45</v>
      </c>
      <c r="E6" s="15">
        <v>55</v>
      </c>
      <c r="F6" s="1"/>
      <c r="G6" s="3"/>
      <c r="H6" s="3"/>
    </row>
    <row r="7" spans="1:8" ht="15.75">
      <c r="A7" s="13" t="s">
        <v>22</v>
      </c>
      <c r="B7" s="34">
        <v>-480.64</v>
      </c>
      <c r="C7" s="1" t="s">
        <v>4</v>
      </c>
      <c r="D7" s="28" t="s">
        <v>50</v>
      </c>
      <c r="E7" s="16">
        <f>B26/B10</f>
        <v>0.24</v>
      </c>
      <c r="F7" s="1"/>
      <c r="G7" s="3"/>
      <c r="H7" s="3"/>
    </row>
    <row r="8" spans="1:8" ht="15.75">
      <c r="A8" s="13" t="s">
        <v>23</v>
      </c>
      <c r="B8" s="34">
        <v>0</v>
      </c>
      <c r="C8" s="1" t="s">
        <v>4</v>
      </c>
      <c r="D8" s="25" t="s">
        <v>26</v>
      </c>
      <c r="E8" s="17">
        <f>10/130</f>
        <v>7.6923076923076927E-2</v>
      </c>
      <c r="F8" s="1"/>
      <c r="G8" s="3"/>
      <c r="H8" s="3"/>
    </row>
    <row r="9" spans="1:8" ht="15.75">
      <c r="A9" s="13" t="s">
        <v>35</v>
      </c>
      <c r="B9" s="34">
        <v>0</v>
      </c>
      <c r="C9" s="1" t="s">
        <v>4</v>
      </c>
      <c r="D9" s="25" t="s">
        <v>30</v>
      </c>
      <c r="E9" s="18">
        <f>(B29/E23)+5</f>
        <v>35.912083257699528</v>
      </c>
      <c r="F9" s="1" t="s">
        <v>31</v>
      </c>
      <c r="G9" s="3"/>
      <c r="H9" s="3"/>
    </row>
    <row r="10" spans="1:8" ht="15.75">
      <c r="A10" s="50" t="s">
        <v>53</v>
      </c>
      <c r="B10" s="33">
        <f>B5+IF(B6&lt;0,B6-(B6/2),B6/2)+IF(B7&lt;0,B7-(B7/3),B7/3)+IF(B8&lt;0,B8-(B8/4),B8/4)+IF(B9&lt;0,B9-(B9/5),B9/5)</f>
        <v>5691.543333333334</v>
      </c>
      <c r="D10" s="25" t="s">
        <v>32</v>
      </c>
      <c r="E10" s="18">
        <f>(B29/E23)+10</f>
        <v>40.912083257699528</v>
      </c>
      <c r="F10" s="1" t="s">
        <v>31</v>
      </c>
      <c r="G10" s="3"/>
      <c r="H10" s="3"/>
    </row>
    <row r="11" spans="1:8" ht="15.75">
      <c r="A11" s="135"/>
      <c r="B11" s="136"/>
      <c r="C11" s="1"/>
      <c r="D11" s="25" t="s">
        <v>33</v>
      </c>
      <c r="E11" s="18">
        <f>(B29/E23)+20</f>
        <v>50.912083257699528</v>
      </c>
      <c r="F11" s="1" t="s">
        <v>31</v>
      </c>
      <c r="G11" s="3"/>
      <c r="H11" s="3"/>
    </row>
    <row r="12" spans="1:8" ht="15.75">
      <c r="A12" s="133" t="s">
        <v>15</v>
      </c>
      <c r="B12" s="134"/>
      <c r="D12" s="25" t="s">
        <v>71</v>
      </c>
      <c r="E12" s="53">
        <v>0.03</v>
      </c>
      <c r="G12" s="3"/>
      <c r="H12" s="3"/>
    </row>
    <row r="13" spans="1:8" ht="15.75">
      <c r="A13" s="13" t="s">
        <v>14</v>
      </c>
      <c r="B13" s="32">
        <f>807.34-62.69</f>
        <v>744.65000000000009</v>
      </c>
      <c r="D13" s="29" t="s">
        <v>7</v>
      </c>
      <c r="E13" s="19"/>
      <c r="F13" s="1"/>
      <c r="G13" s="3"/>
      <c r="H13" s="3"/>
    </row>
    <row r="14" spans="1:8" ht="15.75">
      <c r="A14" s="13" t="s">
        <v>17</v>
      </c>
      <c r="B14" s="32">
        <v>0</v>
      </c>
      <c r="C14" s="1" t="s">
        <v>4</v>
      </c>
      <c r="D14" s="129"/>
      <c r="E14" s="130"/>
    </row>
    <row r="15" spans="1:8" ht="15.75">
      <c r="A15" s="13" t="s">
        <v>18</v>
      </c>
      <c r="B15" s="32">
        <v>-62.69</v>
      </c>
      <c r="C15" s="1" t="s">
        <v>4</v>
      </c>
      <c r="D15" s="24" t="s">
        <v>36</v>
      </c>
      <c r="E15" s="20"/>
    </row>
    <row r="16" spans="1:8" ht="15.75">
      <c r="A16" s="13" t="s">
        <v>20</v>
      </c>
      <c r="B16" s="32">
        <v>0</v>
      </c>
      <c r="C16" s="1" t="s">
        <v>4</v>
      </c>
      <c r="D16" s="25" t="s">
        <v>37</v>
      </c>
      <c r="E16" s="21">
        <v>0</v>
      </c>
      <c r="F16" s="64"/>
    </row>
    <row r="17" spans="1:6" ht="15.75">
      <c r="A17" s="13" t="s">
        <v>34</v>
      </c>
      <c r="B17" s="32">
        <v>0</v>
      </c>
      <c r="C17" s="1" t="s">
        <v>4</v>
      </c>
      <c r="D17" s="25" t="s">
        <v>38</v>
      </c>
      <c r="E17" s="21">
        <v>0</v>
      </c>
    </row>
    <row r="18" spans="1:6" ht="15.75">
      <c r="A18" s="50" t="s">
        <v>54</v>
      </c>
      <c r="B18" s="33">
        <f>B13+IF(B14&lt;0,B14-(B14/2),B14/2)+IF(B15&lt;0,B15-(B15/3),B15/3)+IF(B16&lt;0,B16-(B16/4),B16/4)+IF(B17&lt;0,B17-(B17/5),B17/5)</f>
        <v>702.8566666666668</v>
      </c>
      <c r="C18" s="3"/>
      <c r="D18" s="25" t="s">
        <v>39</v>
      </c>
      <c r="E18" s="21">
        <v>0</v>
      </c>
    </row>
    <row r="19" spans="1:6" ht="15.75">
      <c r="A19" s="137"/>
      <c r="B19" s="129"/>
      <c r="D19" s="25" t="s">
        <v>40</v>
      </c>
      <c r="E19" s="21">
        <v>0</v>
      </c>
    </row>
    <row r="20" spans="1:6" ht="15.75">
      <c r="A20" s="133" t="s">
        <v>0</v>
      </c>
      <c r="B20" s="134"/>
      <c r="D20" s="26" t="s">
        <v>41</v>
      </c>
      <c r="E20" s="22">
        <f>SUM(E16:E19)</f>
        <v>0</v>
      </c>
      <c r="F20" s="1"/>
    </row>
    <row r="21" spans="1:6" ht="15.75">
      <c r="A21" s="13" t="s">
        <v>48</v>
      </c>
      <c r="B21" s="31">
        <f>IF(C5="Yes",B10*0.5,MAX(MIN(E28,E29),IF(E24="Yes",E56,E35),E36))</f>
        <v>1365.9704000000002</v>
      </c>
      <c r="D21" s="131"/>
      <c r="E21" s="132"/>
    </row>
    <row r="22" spans="1:6" ht="15.75">
      <c r="A22" s="13" t="s">
        <v>27</v>
      </c>
      <c r="B22" s="31">
        <f>IF(C5="Yes",0,MAX((E25-5)*10,0))</f>
        <v>0</v>
      </c>
      <c r="C22" s="51" t="s">
        <v>49</v>
      </c>
      <c r="D22" s="52"/>
      <c r="E22" s="42">
        <f>1688-41-73</f>
        <v>1574</v>
      </c>
      <c r="F22" s="5" t="s">
        <v>51</v>
      </c>
    </row>
    <row r="23" spans="1:6" ht="15.75">
      <c r="A23" s="13" t="s">
        <v>3</v>
      </c>
      <c r="B23" s="31">
        <f>IF(C5="Yes",0,E26*20)</f>
        <v>0</v>
      </c>
      <c r="C23" s="23" t="s">
        <v>44</v>
      </c>
      <c r="D23" s="1"/>
      <c r="E23" s="43">
        <f>(E22/E6)*E44*(1+E8)</f>
        <v>44.189839572192504</v>
      </c>
      <c r="F23" s="9" t="s">
        <v>43</v>
      </c>
    </row>
    <row r="24" spans="1:6" ht="15.75">
      <c r="A24" s="13" t="s">
        <v>60</v>
      </c>
      <c r="B24" s="31">
        <f>IF(C5="Yes",0,18*E27)</f>
        <v>0</v>
      </c>
      <c r="C24" s="23" t="s">
        <v>56</v>
      </c>
      <c r="E24" s="44" t="s">
        <v>70</v>
      </c>
      <c r="F24" s="9" t="s">
        <v>85</v>
      </c>
    </row>
    <row r="25" spans="1:6" ht="15.75">
      <c r="A25" s="13" t="s">
        <v>63</v>
      </c>
      <c r="B25" s="32">
        <v>0</v>
      </c>
      <c r="C25" s="23" t="s">
        <v>24</v>
      </c>
      <c r="D25" s="1"/>
      <c r="E25" s="45">
        <v>0</v>
      </c>
      <c r="F25" s="1" t="s">
        <v>28</v>
      </c>
    </row>
    <row r="26" spans="1:6" ht="15.75">
      <c r="A26" s="50" t="s">
        <v>47</v>
      </c>
      <c r="B26" s="33">
        <f>B21+B22+B23+B24+B25</f>
        <v>1365.9704000000002</v>
      </c>
      <c r="C26" s="119" t="s">
        <v>19</v>
      </c>
      <c r="D26" s="120"/>
      <c r="E26" s="45">
        <v>0</v>
      </c>
      <c r="F26" s="1" t="s">
        <v>46</v>
      </c>
    </row>
    <row r="27" spans="1:6" ht="15.75">
      <c r="A27" s="13" t="s">
        <v>1</v>
      </c>
      <c r="B27" s="32">
        <v>0</v>
      </c>
      <c r="C27" s="23" t="s">
        <v>52</v>
      </c>
      <c r="E27" s="45">
        <v>0</v>
      </c>
      <c r="F27" s="8"/>
    </row>
    <row r="28" spans="1:6" ht="15.75">
      <c r="A28" s="13" t="s">
        <v>42</v>
      </c>
      <c r="B28" s="31">
        <v>0</v>
      </c>
      <c r="C28" s="119" t="s">
        <v>65</v>
      </c>
      <c r="D28" s="120"/>
      <c r="E28" s="35">
        <f>IF(E24="Yes",MAX(E56,E57),MAX(E35,E36,E37))</f>
        <v>1365.9704000000002</v>
      </c>
      <c r="F28" s="7"/>
    </row>
    <row r="29" spans="1:6" ht="16.5" thickBot="1">
      <c r="A29" s="46" t="s">
        <v>2</v>
      </c>
      <c r="B29" s="47">
        <f>ROUNDUP(B26+B27-B28,1)</f>
        <v>1366</v>
      </c>
      <c r="C29" s="121" t="s">
        <v>66</v>
      </c>
      <c r="D29" s="122"/>
      <c r="E29" s="48">
        <f>IF(E24="Yes",E59,E39)</f>
        <v>1380.1992583333335</v>
      </c>
      <c r="F29" s="7"/>
    </row>
    <row r="30" spans="1:6" ht="15.75">
      <c r="A30" s="99"/>
      <c r="B30" s="100"/>
      <c r="C30" s="100"/>
      <c r="D30" s="100"/>
      <c r="E30" s="98"/>
      <c r="F30" s="7"/>
    </row>
    <row r="31" spans="1:6" ht="15.75">
      <c r="A31" s="99"/>
      <c r="B31" s="100"/>
      <c r="C31" s="100"/>
      <c r="D31" s="100"/>
      <c r="E31" s="98"/>
      <c r="F31" s="7"/>
    </row>
    <row r="32" spans="1:6" ht="15.75" thickBot="1">
      <c r="A32" s="99"/>
      <c r="B32" s="100"/>
      <c r="C32" s="100"/>
      <c r="D32" s="100"/>
      <c r="E32" s="98"/>
    </row>
    <row r="33" spans="1:6" ht="21.75" thickBot="1">
      <c r="A33" s="77" t="s">
        <v>67</v>
      </c>
      <c r="B33" s="78"/>
      <c r="C33" s="78"/>
      <c r="D33" s="78"/>
      <c r="E33" s="79"/>
      <c r="F33" s="1" t="s">
        <v>9</v>
      </c>
    </row>
    <row r="34" spans="1:6">
      <c r="A34" s="96"/>
      <c r="B34" s="97"/>
      <c r="C34" s="97"/>
      <c r="D34" s="97"/>
      <c r="E34" s="98"/>
    </row>
    <row r="35" spans="1:6" ht="15.75">
      <c r="A35" s="110" t="s">
        <v>64</v>
      </c>
      <c r="B35" s="89" t="s">
        <v>73</v>
      </c>
      <c r="C35" s="90"/>
      <c r="D35" s="90"/>
      <c r="E35" s="54">
        <f>B10*(24%+MIN(1%*E25,6%))</f>
        <v>1365.9704000000002</v>
      </c>
    </row>
    <row r="36" spans="1:6" ht="15.75">
      <c r="A36" s="71"/>
      <c r="B36" s="123" t="s">
        <v>69</v>
      </c>
      <c r="C36" s="124"/>
      <c r="D36" s="124"/>
      <c r="E36" s="49">
        <f>(B10*10%)+B18</f>
        <v>1272.0110000000002</v>
      </c>
    </row>
    <row r="37" spans="1:6" ht="15.75">
      <c r="A37" s="111"/>
      <c r="B37" s="92" t="s">
        <v>61</v>
      </c>
      <c r="C37" s="93"/>
      <c r="D37" s="93"/>
      <c r="E37" s="55">
        <f>E23*18</f>
        <v>795.41711229946509</v>
      </c>
    </row>
    <row r="38" spans="1:6" ht="15.75">
      <c r="A38" s="83"/>
      <c r="B38" s="84"/>
      <c r="C38" s="84"/>
      <c r="D38" s="84"/>
      <c r="E38" s="85"/>
    </row>
    <row r="39" spans="1:6" ht="16.5" thickBot="1">
      <c r="A39" s="57" t="s">
        <v>74</v>
      </c>
      <c r="B39" s="128" t="s">
        <v>75</v>
      </c>
      <c r="C39" s="128"/>
      <c r="D39" s="128"/>
      <c r="E39" s="58">
        <f>(B10-(B10*E12))*E5</f>
        <v>1380.1992583333335</v>
      </c>
    </row>
    <row r="40" spans="1:6" ht="15.75" hidden="1">
      <c r="A40" s="86"/>
      <c r="B40" s="87"/>
      <c r="C40" s="87"/>
      <c r="D40" s="87"/>
      <c r="E40" s="88"/>
    </row>
    <row r="41" spans="1:6" ht="15.75" hidden="1">
      <c r="A41" s="101" t="s">
        <v>57</v>
      </c>
      <c r="B41" s="102"/>
      <c r="C41" s="102"/>
      <c r="D41" s="103"/>
      <c r="E41" s="40">
        <v>1.36</v>
      </c>
    </row>
    <row r="42" spans="1:6" ht="15.75" hidden="1">
      <c r="A42" s="104" t="s">
        <v>58</v>
      </c>
      <c r="B42" s="105"/>
      <c r="C42" s="105"/>
      <c r="D42" s="106"/>
      <c r="E42" s="41">
        <v>1.95</v>
      </c>
    </row>
    <row r="43" spans="1:6" ht="15.75" hidden="1">
      <c r="A43" s="104" t="s">
        <v>62</v>
      </c>
      <c r="B43" s="105"/>
      <c r="C43" s="105"/>
      <c r="D43" s="106"/>
      <c r="E43" s="38">
        <f>E41/E42</f>
        <v>0.69743589743589751</v>
      </c>
    </row>
    <row r="44" spans="1:6" ht="16.5" hidden="1" thickBot="1">
      <c r="A44" s="107" t="s">
        <v>59</v>
      </c>
      <c r="B44" s="108"/>
      <c r="C44" s="108"/>
      <c r="D44" s="109"/>
      <c r="E44" s="39">
        <f>MAX(E42/E41,(MIN(10000,B10)/10000)*2)</f>
        <v>1.4338235294117645</v>
      </c>
      <c r="F44" s="30"/>
    </row>
    <row r="45" spans="1:6" ht="15.75" customHeight="1">
      <c r="A45" s="99"/>
      <c r="B45" s="100"/>
      <c r="C45" s="100"/>
      <c r="D45" s="100"/>
      <c r="E45" s="98"/>
    </row>
    <row r="46" spans="1:6" ht="15.75" customHeight="1">
      <c r="A46" s="99"/>
      <c r="B46" s="100"/>
      <c r="C46" s="100"/>
      <c r="D46" s="100"/>
      <c r="E46" s="98"/>
    </row>
    <row r="47" spans="1:6" ht="15.75" customHeight="1" thickBot="1">
      <c r="A47" s="99"/>
      <c r="B47" s="100"/>
      <c r="C47" s="100"/>
      <c r="D47" s="100"/>
      <c r="E47" s="98"/>
    </row>
    <row r="48" spans="1:6" ht="21.75" thickBot="1">
      <c r="A48" s="77" t="s">
        <v>80</v>
      </c>
      <c r="B48" s="78"/>
      <c r="C48" s="78"/>
      <c r="D48" s="78"/>
      <c r="E48" s="79"/>
    </row>
    <row r="49" spans="1:6">
      <c r="A49" s="80"/>
      <c r="B49" s="81"/>
      <c r="C49" s="81"/>
      <c r="D49" s="81"/>
      <c r="E49" s="82"/>
    </row>
    <row r="50" spans="1:6" ht="16.5" thickBot="1">
      <c r="A50" s="57" t="s">
        <v>81</v>
      </c>
      <c r="B50" s="65" t="s">
        <v>82</v>
      </c>
      <c r="C50" s="66"/>
      <c r="D50" s="67"/>
      <c r="E50" s="58">
        <f>B10*0.5</f>
        <v>2845.771666666667</v>
      </c>
    </row>
    <row r="51" spans="1:6" ht="15.75" customHeight="1">
      <c r="A51" s="68"/>
      <c r="B51" s="69"/>
      <c r="C51" s="69"/>
      <c r="D51" s="69"/>
      <c r="E51" s="70"/>
    </row>
    <row r="52" spans="1:6">
      <c r="A52" s="71"/>
      <c r="B52" s="72"/>
      <c r="C52" s="72"/>
      <c r="D52" s="72"/>
      <c r="E52" s="73"/>
    </row>
    <row r="53" spans="1:6" ht="15.75" customHeight="1" thickBot="1">
      <c r="A53" s="74"/>
      <c r="B53" s="75"/>
      <c r="C53" s="75"/>
      <c r="D53" s="75"/>
      <c r="E53" s="76"/>
    </row>
    <row r="54" spans="1:6" ht="21.75" thickBot="1">
      <c r="A54" s="77" t="s">
        <v>68</v>
      </c>
      <c r="B54" s="78"/>
      <c r="C54" s="78"/>
      <c r="D54" s="78"/>
      <c r="E54" s="79"/>
    </row>
    <row r="55" spans="1:6">
      <c r="A55" s="96"/>
      <c r="B55" s="97"/>
      <c r="C55" s="97"/>
      <c r="D55" s="97"/>
      <c r="E55" s="98"/>
    </row>
    <row r="56" spans="1:6" ht="15.75">
      <c r="A56" s="110" t="s">
        <v>64</v>
      </c>
      <c r="B56" s="89" t="s">
        <v>77</v>
      </c>
      <c r="C56" s="90"/>
      <c r="D56" s="91"/>
      <c r="E56" s="54">
        <f>B10*(25%+MIN(1%*E25,5%))</f>
        <v>1422.8858333333335</v>
      </c>
    </row>
    <row r="57" spans="1:6" ht="15.75">
      <c r="A57" s="111"/>
      <c r="B57" s="92" t="s">
        <v>72</v>
      </c>
      <c r="C57" s="93"/>
      <c r="D57" s="94"/>
      <c r="E57" s="55">
        <f>E23*20</f>
        <v>883.79679144385011</v>
      </c>
    </row>
    <row r="58" spans="1:6" ht="15.75">
      <c r="A58" s="83"/>
      <c r="B58" s="84"/>
      <c r="C58" s="84"/>
      <c r="D58" s="84"/>
      <c r="E58" s="85"/>
    </row>
    <row r="59" spans="1:6" ht="15.75">
      <c r="A59" s="59" t="s">
        <v>74</v>
      </c>
      <c r="B59" s="95" t="s">
        <v>76</v>
      </c>
      <c r="C59" s="95"/>
      <c r="D59" s="95"/>
      <c r="E59" s="60">
        <f>MAX(B10*26%,(B10-(B10*E12))*E5)</f>
        <v>1479.8012666666668</v>
      </c>
    </row>
    <row r="60" spans="1:6" ht="15.75">
      <c r="A60" s="86"/>
      <c r="B60" s="112"/>
      <c r="C60" s="112"/>
      <c r="D60" s="112"/>
      <c r="E60" s="88"/>
    </row>
    <row r="61" spans="1:6" ht="15.75">
      <c r="A61" s="101" t="s">
        <v>57</v>
      </c>
      <c r="B61" s="102"/>
      <c r="C61" s="102"/>
      <c r="D61" s="103"/>
      <c r="E61" s="36">
        <f>E41</f>
        <v>1.36</v>
      </c>
    </row>
    <row r="62" spans="1:6" ht="15.75">
      <c r="A62" s="104" t="s">
        <v>58</v>
      </c>
      <c r="B62" s="113"/>
      <c r="C62" s="113"/>
      <c r="D62" s="106"/>
      <c r="E62" s="37">
        <f>E42</f>
        <v>1.95</v>
      </c>
    </row>
    <row r="63" spans="1:6" ht="15.75">
      <c r="A63" s="104" t="s">
        <v>62</v>
      </c>
      <c r="B63" s="113"/>
      <c r="C63" s="113"/>
      <c r="D63" s="106"/>
      <c r="E63" s="38">
        <f>E43</f>
        <v>0.69743589743589751</v>
      </c>
    </row>
    <row r="64" spans="1:6" ht="16.5" thickBot="1">
      <c r="A64" s="107" t="s">
        <v>59</v>
      </c>
      <c r="B64" s="108"/>
      <c r="C64" s="108"/>
      <c r="D64" s="109"/>
      <c r="E64" s="39">
        <f>E44</f>
        <v>1.4338235294117645</v>
      </c>
      <c r="F64" s="1"/>
    </row>
    <row r="65" spans="1:3" ht="15.75">
      <c r="C65" s="56" t="s">
        <v>10</v>
      </c>
    </row>
    <row r="66" spans="1:3" ht="15.75">
      <c r="C66" s="1"/>
    </row>
    <row r="67" spans="1:3" ht="15.75">
      <c r="A67" s="1" t="s">
        <v>16</v>
      </c>
    </row>
    <row r="68" spans="1:3" ht="15.75">
      <c r="A68" s="1" t="s">
        <v>11</v>
      </c>
    </row>
  </sheetData>
  <mergeCells count="44">
    <mergeCell ref="D21:E21"/>
    <mergeCell ref="C26:D26"/>
    <mergeCell ref="A4:B4"/>
    <mergeCell ref="A12:B12"/>
    <mergeCell ref="A20:B20"/>
    <mergeCell ref="A11:B11"/>
    <mergeCell ref="A19:B19"/>
    <mergeCell ref="A63:D63"/>
    <mergeCell ref="A64:D64"/>
    <mergeCell ref="A1:E1"/>
    <mergeCell ref="D2:E2"/>
    <mergeCell ref="C28:D28"/>
    <mergeCell ref="C29:D29"/>
    <mergeCell ref="B35:D35"/>
    <mergeCell ref="B36:D36"/>
    <mergeCell ref="B37:D37"/>
    <mergeCell ref="A3:E3"/>
    <mergeCell ref="B39:D39"/>
    <mergeCell ref="A33:E33"/>
    <mergeCell ref="A35:A37"/>
    <mergeCell ref="A30:E32"/>
    <mergeCell ref="A34:E34"/>
    <mergeCell ref="D14:E14"/>
    <mergeCell ref="A54:E54"/>
    <mergeCell ref="A56:A57"/>
    <mergeCell ref="A60:E60"/>
    <mergeCell ref="A61:D61"/>
    <mergeCell ref="A62:D62"/>
    <mergeCell ref="B56:D56"/>
    <mergeCell ref="B57:D57"/>
    <mergeCell ref="B59:D59"/>
    <mergeCell ref="A58:E58"/>
    <mergeCell ref="A55:E55"/>
    <mergeCell ref="B50:D50"/>
    <mergeCell ref="A51:E53"/>
    <mergeCell ref="A48:E48"/>
    <mergeCell ref="A49:E49"/>
    <mergeCell ref="A38:E38"/>
    <mergeCell ref="A40:E40"/>
    <mergeCell ref="A45:E47"/>
    <mergeCell ref="A41:D41"/>
    <mergeCell ref="A42:D42"/>
    <mergeCell ref="A43:D43"/>
    <mergeCell ref="A44:D44"/>
  </mergeCells>
  <conditionalFormatting sqref="E39">
    <cfRule type="top10" dxfId="4" priority="10" percent="1" bottom="1" rank="1"/>
  </conditionalFormatting>
  <conditionalFormatting sqref="E59">
    <cfRule type="top10" dxfId="3" priority="13" percent="1" bottom="1" rank="1"/>
  </conditionalFormatting>
  <conditionalFormatting sqref="E56:E57">
    <cfRule type="top10" dxfId="2" priority="18" percent="1" rank="1"/>
  </conditionalFormatting>
  <conditionalFormatting sqref="E35:E37">
    <cfRule type="top10" dxfId="1" priority="19" percent="1" rank="1"/>
  </conditionalFormatting>
  <conditionalFormatting sqref="E50">
    <cfRule type="top10" dxfId="0" priority="2" percent="1" bottom="1" rank="1"/>
  </conditionalFormatting>
  <printOptions horizontalCentered="1" verticalCentered="1"/>
  <pageMargins left="0.5" right="0.5" top="0.5" bottom="0.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Texas Driver Pay</vt:lpstr>
      <vt:lpstr>'Texas Driver Pay'!Print_Area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Maggie</cp:lastModifiedBy>
  <cp:lastPrinted>2026-02-26T19:44:58Z</cp:lastPrinted>
  <dcterms:created xsi:type="dcterms:W3CDTF">2021-12-15T03:40:03Z</dcterms:created>
  <dcterms:modified xsi:type="dcterms:W3CDTF">2026-02-26T20:08:16Z</dcterms:modified>
</cp:coreProperties>
</file>